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 activeTab="1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J64" i="2" l="1"/>
  <c r="J62" i="2"/>
  <c r="J67" i="2" l="1"/>
  <c r="J24" i="2"/>
  <c r="J44" i="2" l="1"/>
  <c r="J26" i="2"/>
  <c r="J35" i="2" s="1"/>
  <c r="J12" i="2"/>
  <c r="G66" i="1"/>
  <c r="G65" i="1"/>
  <c r="G64" i="1"/>
  <c r="G63" i="1"/>
  <c r="G62" i="1"/>
  <c r="J13" i="2" l="1"/>
  <c r="J16" i="2"/>
  <c r="C31" i="1"/>
  <c r="C30" i="1"/>
  <c r="C29" i="1"/>
  <c r="C28" i="1"/>
  <c r="J17" i="2" l="1"/>
  <c r="J23" i="2"/>
  <c r="J25" i="2" s="1"/>
  <c r="C32" i="1"/>
  <c r="C35" i="1" s="1"/>
  <c r="C41" i="1" s="1"/>
  <c r="D16" i="1"/>
  <c r="J36" i="2" l="1"/>
  <c r="J37" i="2" s="1"/>
  <c r="J38" i="2" s="1"/>
  <c r="J46" i="2" s="1"/>
  <c r="J47" i="2" s="1"/>
  <c r="J48" i="2" s="1"/>
  <c r="J60" i="2"/>
  <c r="J49" i="2"/>
  <c r="J50" i="2" l="1"/>
</calcChain>
</file>

<file path=xl/sharedStrings.xml><?xml version="1.0" encoding="utf-8"?>
<sst xmlns="http://schemas.openxmlformats.org/spreadsheetml/2006/main" count="108" uniqueCount="83">
  <si>
    <r>
      <t>X</t>
    </r>
    <r>
      <rPr>
        <b/>
        <shadow/>
        <sz val="8"/>
        <color rgb="FFFF0000"/>
        <rFont val="Tahoma"/>
        <family val="2"/>
      </rPr>
      <t>lk</t>
    </r>
  </si>
  <si>
    <r>
      <t>Xh</t>
    </r>
    <r>
      <rPr>
        <b/>
        <shadow/>
        <sz val="8"/>
        <color rgb="FFFF0000"/>
        <rFont val="Tahoma"/>
        <family val="2"/>
      </rPr>
      <t>k</t>
    </r>
  </si>
  <si>
    <t xml:space="preserve">Minimum Number of stages </t>
  </si>
  <si>
    <r>
      <rPr>
        <b/>
        <sz val="14"/>
        <color theme="1"/>
        <rFont val="Calibri"/>
        <family val="2"/>
        <scheme val="minor"/>
      </rPr>
      <t>α</t>
    </r>
    <r>
      <rPr>
        <b/>
        <sz val="8"/>
        <color theme="1"/>
        <rFont val="Calibri"/>
        <family val="2"/>
        <scheme val="minor"/>
      </rPr>
      <t>lk/hk</t>
    </r>
  </si>
  <si>
    <t>D</t>
  </si>
  <si>
    <t>B</t>
  </si>
  <si>
    <t>Nos</t>
  </si>
  <si>
    <t xml:space="preserve">Minimum Reflux (Rm) </t>
  </si>
  <si>
    <r>
      <t>N</t>
    </r>
    <r>
      <rPr>
        <b/>
        <sz val="8"/>
        <color theme="1"/>
        <rFont val="Calibri"/>
        <family val="2"/>
        <scheme val="minor"/>
      </rPr>
      <t>min</t>
    </r>
  </si>
  <si>
    <t>Q</t>
  </si>
  <si>
    <t>thita</t>
  </si>
  <si>
    <r>
      <rPr>
        <sz val="16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>a</t>
    </r>
  </si>
  <si>
    <r>
      <t>R</t>
    </r>
    <r>
      <rPr>
        <sz val="11"/>
        <color theme="1"/>
        <rFont val="Calibri"/>
        <family val="2"/>
        <scheme val="minor"/>
      </rPr>
      <t>min</t>
    </r>
  </si>
  <si>
    <r>
      <rPr>
        <sz val="16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>b</t>
    </r>
  </si>
  <si>
    <r>
      <rPr>
        <sz val="16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 xml:space="preserve">b * </t>
    </r>
    <r>
      <rPr>
        <sz val="1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DB</t>
    </r>
  </si>
  <si>
    <r>
      <rPr>
        <sz val="16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 xml:space="preserve">a * </t>
    </r>
    <r>
      <rPr>
        <sz val="20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DA</t>
    </r>
  </si>
  <si>
    <r>
      <rPr>
        <sz val="16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>a -thita</t>
    </r>
  </si>
  <si>
    <r>
      <rPr>
        <sz val="18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>b -thita</t>
    </r>
  </si>
  <si>
    <r>
      <t xml:space="preserve">R   = (1.2 ------- 1.5) R </t>
    </r>
    <r>
      <rPr>
        <b/>
        <shadow/>
        <vertAlign val="subscript"/>
        <sz val="14"/>
        <color theme="1" tint="0.249977111117893"/>
        <rFont val="Tahoma"/>
        <family val="2"/>
      </rPr>
      <t>min</t>
    </r>
  </si>
  <si>
    <t>Theoratical no of stages</t>
  </si>
  <si>
    <r>
      <t>N-N</t>
    </r>
    <r>
      <rPr>
        <sz val="11"/>
        <color theme="1"/>
        <rFont val="Calibri"/>
        <family val="2"/>
        <scheme val="minor"/>
      </rPr>
      <t>min</t>
    </r>
    <r>
      <rPr>
        <sz val="18"/>
        <color theme="1"/>
        <rFont val="Calibri"/>
        <family val="2"/>
        <scheme val="minor"/>
      </rPr>
      <t>/N+1</t>
    </r>
  </si>
  <si>
    <t>Actual number of stages</t>
  </si>
  <si>
    <t xml:space="preserve">Actual Reflux (R) </t>
  </si>
  <si>
    <t>Tray Efficiency</t>
  </si>
  <si>
    <t>N</t>
  </si>
  <si>
    <t>Location of feed Plate</t>
  </si>
  <si>
    <t>Feed (F)</t>
  </si>
  <si>
    <t>kg/hr</t>
  </si>
  <si>
    <t>Distillate (D)</t>
  </si>
  <si>
    <t>Bottom (B)</t>
  </si>
  <si>
    <t>Xhk</t>
  </si>
  <si>
    <t>Xlk</t>
  </si>
  <si>
    <t>Determination of the Column Diameter</t>
  </si>
  <si>
    <t>Molar flowrate of liq. &amp; vap. at Top (Enriching section)</t>
  </si>
  <si>
    <t>L=RD</t>
  </si>
  <si>
    <t>V=(R+1)D</t>
  </si>
  <si>
    <t>Molar flowrate of liq. &amp; vap. at Bottom (Stripping section)</t>
  </si>
  <si>
    <t>L'=L+Fq</t>
  </si>
  <si>
    <t>V'=V+(q-1)F</t>
  </si>
  <si>
    <t>L</t>
  </si>
  <si>
    <t>V</t>
  </si>
  <si>
    <t>L'</t>
  </si>
  <si>
    <t>V'</t>
  </si>
  <si>
    <t>R</t>
  </si>
  <si>
    <t>F</t>
  </si>
  <si>
    <t>q</t>
  </si>
  <si>
    <t>Ln/Vn</t>
  </si>
  <si>
    <t>Flv</t>
  </si>
  <si>
    <t>cf</t>
  </si>
  <si>
    <t>sigma</t>
  </si>
  <si>
    <t>Velocity</t>
  </si>
  <si>
    <t>Ac</t>
  </si>
  <si>
    <t>M2</t>
  </si>
  <si>
    <t xml:space="preserve">Down comer area Ad </t>
  </si>
  <si>
    <r>
      <t>Net Area (A</t>
    </r>
    <r>
      <rPr>
        <shadow/>
        <vertAlign val="subscript"/>
        <sz val="11"/>
        <color rgb="FFFFFFFF"/>
        <rFont val="Tahoma"/>
        <family val="2"/>
      </rPr>
      <t>n</t>
    </r>
    <r>
      <rPr>
        <shadow/>
        <sz val="11"/>
        <color rgb="FFFFFFFF"/>
        <rFont val="Tahoma"/>
        <family val="2"/>
      </rPr>
      <t>) = A</t>
    </r>
    <r>
      <rPr>
        <shadow/>
        <vertAlign val="subscript"/>
        <sz val="11"/>
        <color rgb="FFFFFFFF"/>
        <rFont val="Tahoma"/>
        <family val="2"/>
      </rPr>
      <t>c</t>
    </r>
    <r>
      <rPr>
        <shadow/>
        <sz val="11"/>
        <color rgb="FFFFFFFF"/>
        <rFont val="Tahoma"/>
        <family val="2"/>
      </rPr>
      <t xml:space="preserve"> - A</t>
    </r>
    <r>
      <rPr>
        <shadow/>
        <vertAlign val="subscript"/>
        <sz val="11"/>
        <color rgb="FFFFFFFF"/>
        <rFont val="Tahoma"/>
        <family val="2"/>
      </rPr>
      <t>d</t>
    </r>
    <r>
      <rPr>
        <shadow/>
        <sz val="11"/>
        <color rgb="FFFFFFFF"/>
        <rFont val="Tahoma"/>
        <family val="2"/>
      </rPr>
      <t xml:space="preserve"> </t>
    </r>
  </si>
  <si>
    <t>hole area</t>
  </si>
  <si>
    <t>m/sec</t>
  </si>
  <si>
    <t>Active area</t>
  </si>
  <si>
    <t>Liquid density</t>
  </si>
  <si>
    <t>Kg/m3</t>
  </si>
  <si>
    <t>Vapor density</t>
  </si>
  <si>
    <t>Daimeter</t>
  </si>
  <si>
    <t>M</t>
  </si>
  <si>
    <t>Q In m3/sec</t>
  </si>
  <si>
    <t>m3/sec</t>
  </si>
  <si>
    <t>Hight of colum</t>
  </si>
  <si>
    <t xml:space="preserve">Hc= (Nact-1)* Hs+ ∆H+ plates thickness 
</t>
  </si>
  <si>
    <t>Heigh of colum</t>
  </si>
  <si>
    <t>Density of  vapor/liquid</t>
  </si>
  <si>
    <t>Active area calculation</t>
  </si>
  <si>
    <t>mm</t>
  </si>
  <si>
    <t>Distillation design</t>
  </si>
  <si>
    <t>Pressure drop across the column</t>
  </si>
  <si>
    <r>
      <t xml:space="preserve">    </t>
    </r>
    <r>
      <rPr>
        <b/>
        <shadow/>
        <u/>
        <sz val="12"/>
        <color rgb="FFFF0000"/>
        <rFont val="Tahoma"/>
        <family val="2"/>
      </rPr>
      <t>Residual Head (h</t>
    </r>
    <r>
      <rPr>
        <b/>
        <shadow/>
        <u/>
        <vertAlign val="subscript"/>
        <sz val="12"/>
        <color rgb="FFFF0000"/>
        <rFont val="Tahoma"/>
        <family val="2"/>
      </rPr>
      <t>r</t>
    </r>
    <r>
      <rPr>
        <b/>
        <shadow/>
        <u/>
        <sz val="12"/>
        <color rgb="FFFF0000"/>
        <rFont val="Tahoma"/>
        <family val="2"/>
      </rPr>
      <t xml:space="preserve">):hr = (12.5*103 / ρL)
</t>
    </r>
  </si>
  <si>
    <t>Uh is velocity of vapour</t>
  </si>
  <si>
    <t>Uh</t>
  </si>
  <si>
    <t>vapor flow/Active area</t>
  </si>
  <si>
    <t>C0</t>
  </si>
  <si>
    <t>From fig RC V6 , Edition 3 (for plate thk /hole dia is 1)</t>
  </si>
  <si>
    <t>Density of V/L</t>
  </si>
  <si>
    <r>
      <rPr>
        <sz val="18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d</t>
    </r>
  </si>
  <si>
    <t>mm Liquid</t>
  </si>
  <si>
    <r>
      <rPr>
        <sz val="18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</si>
</sst>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8"/>
      <color rgb="FFFF0000"/>
      <name val="Tahoma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hadow/>
      <u/>
      <sz val="14"/>
      <color rgb="FFFFFF00"/>
      <name val="Tahoma"/>
      <family val="2"/>
    </font>
    <font>
      <b/>
      <sz val="18"/>
      <color theme="1"/>
      <name val="Calibri"/>
      <family val="2"/>
      <scheme val="minor"/>
    </font>
    <font>
      <b/>
      <shadow/>
      <u/>
      <sz val="12"/>
      <color rgb="FFFF0000"/>
      <name val="Tahoma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hadow/>
      <sz val="14"/>
      <color theme="1" tint="0.249977111117893"/>
      <name val="Tahoma"/>
      <family val="2"/>
    </font>
    <font>
      <b/>
      <shadow/>
      <vertAlign val="subscript"/>
      <sz val="14"/>
      <color theme="1" tint="0.249977111117893"/>
      <name val="Tahoma"/>
      <family val="2"/>
    </font>
    <font>
      <b/>
      <shadow/>
      <u/>
      <sz val="16"/>
      <color rgb="FFFF0000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hadow/>
      <sz val="11"/>
      <color rgb="FFFFFFFF"/>
      <name val="Tahoma"/>
      <family val="2"/>
    </font>
    <font>
      <shadow/>
      <vertAlign val="subscript"/>
      <sz val="11"/>
      <color rgb="FFFFFFFF"/>
      <name val="Tahoma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hadow/>
      <sz val="12"/>
      <color rgb="FFB2B2B2"/>
      <name val="Tahoma"/>
      <family val="2"/>
    </font>
    <font>
      <b/>
      <shadow/>
      <u/>
      <vertAlign val="subscript"/>
      <sz val="12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6" fillId="0" borderId="0" xfId="0" applyFont="1" applyBorder="1" applyAlignment="1">
      <alignment vertical="center" readingOrder="1"/>
    </xf>
    <xf numFmtId="0" fontId="0" fillId="2" borderId="0" xfId="0" applyFill="1" applyBorder="1" applyAlignment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/>
    <xf numFmtId="0" fontId="16" fillId="0" borderId="0" xfId="0" applyFont="1"/>
    <xf numFmtId="2" fontId="16" fillId="0" borderId="0" xfId="0" applyNumberFormat="1" applyFont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18" fillId="0" borderId="1" xfId="0" applyFont="1" applyBorder="1"/>
    <xf numFmtId="0" fontId="0" fillId="2" borderId="14" xfId="0" applyFill="1" applyBorder="1"/>
    <xf numFmtId="0" fontId="0" fillId="0" borderId="14" xfId="0" applyBorder="1"/>
    <xf numFmtId="0" fontId="0" fillId="0" borderId="17" xfId="0" applyBorder="1"/>
    <xf numFmtId="0" fontId="0" fillId="2" borderId="1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7" fillId="0" borderId="0" xfId="0" applyFont="1"/>
    <xf numFmtId="0" fontId="0" fillId="0" borderId="20" xfId="0" applyBorder="1"/>
    <xf numFmtId="0" fontId="0" fillId="3" borderId="21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3" borderId="26" xfId="0" applyFill="1" applyBorder="1"/>
    <xf numFmtId="0" fontId="0" fillId="2" borderId="26" xfId="0" applyFill="1" applyBorder="1"/>
    <xf numFmtId="0" fontId="0" fillId="2" borderId="27" xfId="0" applyFill="1" applyBorder="1"/>
    <xf numFmtId="0" fontId="16" fillId="0" borderId="18" xfId="0" applyFont="1" applyBorder="1"/>
    <xf numFmtId="0" fontId="16" fillId="0" borderId="0" xfId="0" applyFont="1" applyBorder="1"/>
    <xf numFmtId="0" fontId="16" fillId="0" borderId="19" xfId="0" applyFont="1" applyBorder="1"/>
    <xf numFmtId="0" fontId="16" fillId="2" borderId="25" xfId="0" applyFont="1" applyFill="1" applyBorder="1"/>
    <xf numFmtId="0" fontId="16" fillId="2" borderId="26" xfId="0" applyFont="1" applyFill="1" applyBorder="1"/>
    <xf numFmtId="2" fontId="16" fillId="2" borderId="26" xfId="0" applyNumberFormat="1" applyFont="1" applyFill="1" applyBorder="1"/>
    <xf numFmtId="0" fontId="16" fillId="2" borderId="27" xfId="0" applyFont="1" applyFill="1" applyBorder="1"/>
    <xf numFmtId="0" fontId="16" fillId="2" borderId="20" xfId="0" applyFont="1" applyFill="1" applyBorder="1"/>
    <xf numFmtId="0" fontId="16" fillId="2" borderId="21" xfId="0" applyFont="1" applyFill="1" applyBorder="1"/>
    <xf numFmtId="2" fontId="16" fillId="2" borderId="21" xfId="0" applyNumberFormat="1" applyFont="1" applyFill="1" applyBorder="1"/>
    <xf numFmtId="0" fontId="16" fillId="2" borderId="22" xfId="0" applyFont="1" applyFill="1" applyBorder="1"/>
    <xf numFmtId="0" fontId="16" fillId="2" borderId="31" xfId="0" applyFont="1" applyFill="1" applyBorder="1"/>
    <xf numFmtId="0" fontId="16" fillId="2" borderId="17" xfId="0" applyFont="1" applyFill="1" applyBorder="1"/>
    <xf numFmtId="2" fontId="16" fillId="2" borderId="17" xfId="0" applyNumberFormat="1" applyFont="1" applyFill="1" applyBorder="1"/>
    <xf numFmtId="0" fontId="16" fillId="2" borderId="32" xfId="0" applyFont="1" applyFill="1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readingOrder="1"/>
    </xf>
    <xf numFmtId="0" fontId="8" fillId="0" borderId="5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6" fillId="5" borderId="28" xfId="0" applyFont="1" applyFill="1" applyBorder="1" applyAlignment="1">
      <alignment horizontal="left"/>
    </xf>
    <xf numFmtId="0" fontId="16" fillId="5" borderId="29" xfId="0" applyFont="1" applyFill="1" applyBorder="1" applyAlignment="1">
      <alignment horizontal="left"/>
    </xf>
    <xf numFmtId="0" fontId="16" fillId="5" borderId="30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/>
    </xf>
    <xf numFmtId="0" fontId="16" fillId="5" borderId="34" xfId="0" applyFont="1" applyFill="1" applyBorder="1" applyAlignment="1">
      <alignment horizontal="left"/>
    </xf>
    <xf numFmtId="0" fontId="16" fillId="5" borderId="35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20" fillId="3" borderId="19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1" fillId="6" borderId="8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 readingOrder="1"/>
    </xf>
    <xf numFmtId="0" fontId="23" fillId="0" borderId="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253365</xdr:colOff>
      <xdr:row>2</xdr:row>
      <xdr:rowOff>300704</xdr:rowOff>
    </xdr:from>
    <xdr:ext cx="2632710" cy="4451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862965" y="691229"/>
              <a:ext cx="2632710" cy="4451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IN" sz="1100" i="1">
                        <a:latin typeface="Cambria Math"/>
                      </a:rPr>
                      <m:t>𝑥</m:t>
                    </m:r>
                    <m:r>
                      <a:rPr lang="en-IN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IN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IN" sz="1100" i="1">
                            <a:latin typeface="Cambria Math"/>
                          </a:rPr>
                          <m:t>𝐿𝑁</m:t>
                        </m:r>
                        <m:r>
                          <a:rPr lang="en-IN" sz="1100" i="1">
                            <a:latin typeface="Cambria Math"/>
                          </a:rPr>
                          <m:t>[(</m:t>
                        </m:r>
                        <m:r>
                          <a:rPr lang="en-IN" sz="1100" i="1">
                            <a:latin typeface="Cambria Math"/>
                          </a:rPr>
                          <m:t>𝑥𝐿𝐾</m:t>
                        </m:r>
                        <m:r>
                          <a:rPr lang="en-IN" sz="1100" i="1">
                            <a:latin typeface="Cambria Math"/>
                          </a:rPr>
                          <m:t>/</m:t>
                        </m:r>
                        <m:r>
                          <a:rPr lang="en-IN" sz="1100" i="1">
                            <a:latin typeface="Cambria Math"/>
                          </a:rPr>
                          <m:t>𝑥𝐻𝐾</m:t>
                        </m:r>
                        <m:r>
                          <a:rPr lang="en-IN" sz="1100" i="1">
                            <a:latin typeface="Cambria Math"/>
                          </a:rPr>
                          <m:t>)</m:t>
                        </m:r>
                        <m:r>
                          <a:rPr lang="en-IN" sz="1100" i="1">
                            <a:latin typeface="Cambria Math"/>
                          </a:rPr>
                          <m:t>𝐷</m:t>
                        </m:r>
                        <m:r>
                          <a:rPr lang="en-IN" sz="1100" i="1">
                            <a:latin typeface="Cambria Math"/>
                          </a:rPr>
                          <m:t>(</m:t>
                        </m:r>
                        <m:r>
                          <a:rPr lang="en-IN" sz="1100" i="1">
                            <a:latin typeface="Cambria Math"/>
                          </a:rPr>
                          <m:t>𝑥𝐻𝐾</m:t>
                        </m:r>
                        <m:r>
                          <a:rPr lang="en-IN" sz="1100" i="1">
                            <a:latin typeface="Cambria Math"/>
                          </a:rPr>
                          <m:t> /</m:t>
                        </m:r>
                        <m:r>
                          <a:rPr lang="en-IN" sz="1100" i="1">
                            <a:latin typeface="Cambria Math"/>
                          </a:rPr>
                          <m:t>𝑥𝐿𝐾</m:t>
                        </m:r>
                        <m:r>
                          <a:rPr lang="en-IN" sz="1100" i="1">
                            <a:latin typeface="Cambria Math"/>
                          </a:rPr>
                          <m:t>)</m:t>
                        </m:r>
                        <m:r>
                          <a:rPr lang="en-IN" sz="1100" i="1">
                            <a:latin typeface="Cambria Math"/>
                          </a:rPr>
                          <m:t>𝐵</m:t>
                        </m:r>
                        <m:r>
                          <a:rPr lang="en-IN" sz="1100" i="1">
                            <a:latin typeface="Cambria Math"/>
                          </a:rPr>
                          <m:t>]</m:t>
                        </m:r>
                      </m:num>
                      <m:den>
                        <m:r>
                          <a:rPr lang="en-IN" sz="1100" i="1">
                            <a:latin typeface="Cambria Math"/>
                          </a:rPr>
                          <m:t>    </m:t>
                        </m:r>
                        <m:r>
                          <a:rPr lang="en-IN" sz="1100" i="1">
                            <a:latin typeface="Cambria Math"/>
                          </a:rPr>
                          <m:t>𝐿𝑁</m:t>
                        </m:r>
                        <m:r>
                          <a:rPr lang="en-IN" sz="1100" i="1">
                            <a:latin typeface="Cambria Math"/>
                          </a:rPr>
                          <m:t> (</m:t>
                        </m:r>
                        <m:r>
                          <a:rPr lang="el-GR" sz="1100" i="1">
                            <a:latin typeface="Cambria Math"/>
                          </a:rPr>
                          <m:t>𝛼</m:t>
                        </m:r>
                        <m:r>
                          <a:rPr lang="en-IN" sz="1100" i="1">
                            <a:latin typeface="Cambria Math"/>
                          </a:rPr>
                          <m:t>𝐿𝐾</m:t>
                        </m:r>
                        <m:r>
                          <a:rPr lang="en-IN" sz="1100" i="1">
                            <a:latin typeface="Cambria Math"/>
                          </a:rPr>
                          <m:t>/</m:t>
                        </m:r>
                        <m:r>
                          <a:rPr lang="en-IN" sz="1100" i="1">
                            <a:latin typeface="Cambria Math"/>
                          </a:rPr>
                          <m:t>𝐻𝐾</m:t>
                        </m:r>
                        <m:r>
                          <a:rPr lang="en-IN" sz="1100" i="1">
                            <a:latin typeface="Cambria Math"/>
                          </a:rPr>
                          <m:t>) </m:t>
                        </m:r>
                        <m:r>
                          <a:rPr lang="en-IN" sz="1100" i="1">
                            <a:latin typeface="Cambria Math"/>
                          </a:rPr>
                          <m:t>𝑎𝑣𝑒𝑟𝑎𝑔𝑒</m:t>
                        </m:r>
                      </m:den>
                    </m:f>
                  </m:oMath>
                </m:oMathPara>
              </a14:m>
              <a:endParaRPr lang="en-IN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62965" y="691229"/>
              <a:ext cx="2632710" cy="4451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IN" sz="1100" i="0">
                  <a:latin typeface="Cambria Math"/>
                </a:rPr>
                <a:t>𝑥=(𝐿𝑁[(𝑥𝐿𝐾/𝑥𝐻𝐾)𝐷(𝑥𝐻𝐾 /𝑥𝐿𝐾)𝐵])/(    𝐿𝑁 (</a:t>
              </a:r>
              <a:r>
                <a:rPr lang="el-GR" sz="1100" i="0">
                  <a:latin typeface="Cambria Math"/>
                </a:rPr>
                <a:t>𝛼</a:t>
              </a:r>
              <a:r>
                <a:rPr lang="en-IN" sz="1100" i="0">
                  <a:latin typeface="Cambria Math"/>
                </a:rPr>
                <a:t>𝐿𝐾/𝐻𝐾) 𝑎𝑣𝑒𝑟𝑎𝑔𝑒)</a:t>
              </a:r>
              <a:endParaRPr lang="en-IN" sz="1100"/>
            </a:p>
          </xdr:txBody>
        </xdr:sp>
      </mc:Fallback>
    </mc:AlternateContent>
    <xdr:clientData/>
  </xdr:oneCellAnchor>
  <xdr:twoCellAnchor editAs="oneCell">
    <xdr:from>
      <xdr:col>1</xdr:col>
      <xdr:colOff>133350</xdr:colOff>
      <xdr:row>18</xdr:row>
      <xdr:rowOff>104775</xdr:rowOff>
    </xdr:from>
    <xdr:to>
      <xdr:col>3</xdr:col>
      <xdr:colOff>400050</xdr:colOff>
      <xdr:row>21</xdr:row>
      <xdr:rowOff>179387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190875"/>
          <a:ext cx="2438400" cy="674687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36</xdr:row>
          <xdr:rowOff>123825</xdr:rowOff>
        </xdr:from>
        <xdr:to>
          <xdr:col>5</xdr:col>
          <xdr:colOff>333375</xdr:colOff>
          <xdr:row>39</xdr:row>
          <xdr:rowOff>114300</xdr:rowOff>
        </xdr:to>
        <xdr:sp macro="" textlink="">
          <xdr:nvSpPr>
            <xdr:cNvPr id="1025" name="Object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48</xdr:row>
          <xdr:rowOff>28575</xdr:rowOff>
        </xdr:from>
        <xdr:to>
          <xdr:col>5</xdr:col>
          <xdr:colOff>819150</xdr:colOff>
          <xdr:row>51</xdr:row>
          <xdr:rowOff>161925</xdr:rowOff>
        </xdr:to>
        <xdr:sp macro="" textlink="">
          <xdr:nvSpPr>
            <xdr:cNvPr id="1026" name="Object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17</xdr:row>
          <xdr:rowOff>152400</xdr:rowOff>
        </xdr:from>
        <xdr:to>
          <xdr:col>13</xdr:col>
          <xdr:colOff>457200</xdr:colOff>
          <xdr:row>21</xdr:row>
          <xdr:rowOff>47625</xdr:rowOff>
        </xdr:to>
        <xdr:sp macro="" textlink="">
          <xdr:nvSpPr>
            <xdr:cNvPr id="2049" name="Object 4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26</xdr:row>
          <xdr:rowOff>133350</xdr:rowOff>
        </xdr:from>
        <xdr:to>
          <xdr:col>13</xdr:col>
          <xdr:colOff>561975</xdr:colOff>
          <xdr:row>30</xdr:row>
          <xdr:rowOff>104775</xdr:rowOff>
        </xdr:to>
        <xdr:sp macro="" textlink="">
          <xdr:nvSpPr>
            <xdr:cNvPr id="2050" name="Object 5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1181100</xdr:colOff>
      <xdr:row>54</xdr:row>
      <xdr:rowOff>9525</xdr:rowOff>
    </xdr:from>
    <xdr:to>
      <xdr:col>11</xdr:col>
      <xdr:colOff>276225</xdr:colOff>
      <xdr:row>57</xdr:row>
      <xdr:rowOff>136219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0715625"/>
          <a:ext cx="2143125" cy="926794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66"/>
  <sheetViews>
    <sheetView topLeftCell="A44" workbookViewId="0">
      <selection activeCell="G67" sqref="G67"/>
    </sheetView>
  </sheetViews>
  <sheetFormatPr defaultRowHeight="15" x14ac:dyDescent="0.25"/>
  <cols>
    <col min="1" max="1" width="9.140625" style="1"/>
    <col min="2" max="2" width="22.7109375" style="6" bestFit="1" customWidth="1"/>
    <col min="3" max="3" width="9.85546875" style="6" customWidth="1"/>
    <col min="4" max="5" width="9.140625" style="6"/>
    <col min="6" max="6" width="14" style="1" customWidth="1"/>
    <col min="7" max="7" width="14.5703125" style="1" customWidth="1"/>
    <col min="8" max="16384" width="9.140625" style="1"/>
  </cols>
  <sheetData>
    <row r="2" spans="2:8" ht="15.75" thickBot="1" x14ac:dyDescent="0.3"/>
    <row r="3" spans="2:8" ht="24" thickBot="1" x14ac:dyDescent="0.4">
      <c r="B3" s="83" t="s">
        <v>2</v>
      </c>
      <c r="C3" s="84"/>
      <c r="D3" s="84"/>
      <c r="E3" s="84"/>
      <c r="F3" s="85"/>
      <c r="H3" s="5"/>
    </row>
    <row r="4" spans="2:8" ht="18" x14ac:dyDescent="0.25">
      <c r="B4" s="77"/>
      <c r="C4" s="78"/>
      <c r="D4" s="78"/>
      <c r="E4" s="78"/>
      <c r="F4" s="79"/>
      <c r="H4" s="4"/>
    </row>
    <row r="5" spans="2:8" ht="15.75" thickBot="1" x14ac:dyDescent="0.3">
      <c r="B5" s="80"/>
      <c r="C5" s="81"/>
      <c r="D5" s="81"/>
      <c r="E5" s="81"/>
      <c r="F5" s="82"/>
      <c r="H5" s="3"/>
    </row>
    <row r="6" spans="2:8" x14ac:dyDescent="0.25">
      <c r="C6" s="7"/>
      <c r="D6" s="7"/>
      <c r="E6" s="7"/>
      <c r="F6" s="3"/>
      <c r="G6" s="3"/>
      <c r="H6" s="3"/>
    </row>
    <row r="7" spans="2:8" x14ac:dyDescent="0.25">
      <c r="B7" s="73" t="s">
        <v>4</v>
      </c>
      <c r="C7" s="9" t="s">
        <v>0</v>
      </c>
      <c r="D7" s="10">
        <v>0.99</v>
      </c>
      <c r="E7" s="9"/>
      <c r="F7" s="2"/>
    </row>
    <row r="8" spans="2:8" x14ac:dyDescent="0.25">
      <c r="B8" s="73"/>
      <c r="C8" s="9" t="s">
        <v>1</v>
      </c>
      <c r="D8" s="10">
        <v>0.01</v>
      </c>
      <c r="E8" s="9"/>
      <c r="F8" s="2"/>
    </row>
    <row r="9" spans="2:8" x14ac:dyDescent="0.25">
      <c r="B9" s="73" t="s">
        <v>5</v>
      </c>
      <c r="C9" s="9" t="s">
        <v>0</v>
      </c>
      <c r="D9" s="10">
        <v>0.01</v>
      </c>
      <c r="E9" s="9"/>
      <c r="F9" s="2"/>
    </row>
    <row r="10" spans="2:8" x14ac:dyDescent="0.25">
      <c r="B10" s="73"/>
      <c r="C10" s="9" t="s">
        <v>1</v>
      </c>
      <c r="D10" s="10">
        <v>0.99</v>
      </c>
      <c r="E10" s="9"/>
      <c r="F10" s="2"/>
    </row>
    <row r="11" spans="2:8" x14ac:dyDescent="0.25">
      <c r="B11" s="8" t="s">
        <v>26</v>
      </c>
      <c r="C11" s="13"/>
      <c r="D11" s="22" t="s">
        <v>27</v>
      </c>
      <c r="E11" s="9"/>
      <c r="F11" s="2"/>
    </row>
    <row r="12" spans="2:8" x14ac:dyDescent="0.25">
      <c r="B12" s="8" t="s">
        <v>28</v>
      </c>
      <c r="C12" s="13"/>
      <c r="D12" s="22" t="s">
        <v>27</v>
      </c>
      <c r="E12" s="9"/>
      <c r="F12" s="2"/>
    </row>
    <row r="13" spans="2:8" x14ac:dyDescent="0.25">
      <c r="B13" s="8" t="s">
        <v>29</v>
      </c>
      <c r="C13" s="13"/>
      <c r="D13" s="22" t="s">
        <v>27</v>
      </c>
      <c r="E13" s="9"/>
      <c r="F13" s="2"/>
    </row>
    <row r="14" spans="2:8" ht="18.75" x14ac:dyDescent="0.3">
      <c r="B14" s="9"/>
      <c r="C14" s="11" t="s">
        <v>3</v>
      </c>
      <c r="D14" s="10">
        <v>1.53</v>
      </c>
      <c r="E14" s="9"/>
      <c r="F14" s="2"/>
    </row>
    <row r="16" spans="2:8" x14ac:dyDescent="0.25">
      <c r="B16" s="9"/>
      <c r="C16" s="11" t="s">
        <v>8</v>
      </c>
      <c r="D16" s="12">
        <f>LN((D7/D8)*(D10/D9))/LN(D14)</f>
        <v>21.610479552442673</v>
      </c>
      <c r="E16" s="9" t="s">
        <v>6</v>
      </c>
      <c r="F16" s="2"/>
    </row>
    <row r="18" spans="2:6" ht="15.75" x14ac:dyDescent="0.25">
      <c r="B18" s="74" t="s">
        <v>7</v>
      </c>
      <c r="C18" s="75"/>
      <c r="D18" s="75"/>
      <c r="E18" s="75"/>
      <c r="F18" s="76"/>
    </row>
    <row r="19" spans="2:6" ht="15.75" x14ac:dyDescent="0.25">
      <c r="B19" s="14"/>
      <c r="C19" s="14"/>
      <c r="D19" s="14"/>
      <c r="E19" s="14"/>
      <c r="F19" s="14"/>
    </row>
    <row r="20" spans="2:6" ht="15.75" x14ac:dyDescent="0.25">
      <c r="B20" s="14"/>
      <c r="C20" s="14"/>
      <c r="D20" s="14"/>
      <c r="E20" s="14"/>
      <c r="F20" s="14"/>
    </row>
    <row r="21" spans="2:6" ht="15.75" x14ac:dyDescent="0.25">
      <c r="B21" s="14"/>
      <c r="C21" s="14"/>
      <c r="D21" s="14"/>
      <c r="E21" s="14"/>
      <c r="F21" s="14"/>
    </row>
    <row r="22" spans="2:6" ht="15.75" x14ac:dyDescent="0.25">
      <c r="B22" s="14"/>
      <c r="C22" s="14"/>
      <c r="D22" s="14"/>
      <c r="E22" s="14"/>
      <c r="F22" s="14"/>
    </row>
    <row r="24" spans="2:6" x14ac:dyDescent="0.25">
      <c r="B24" s="9" t="s">
        <v>9</v>
      </c>
      <c r="C24" s="13"/>
      <c r="D24" s="9"/>
      <c r="E24" s="9"/>
    </row>
    <row r="25" spans="2:6" x14ac:dyDescent="0.25">
      <c r="B25" s="9" t="s">
        <v>10</v>
      </c>
      <c r="C25" s="13"/>
      <c r="D25" s="9"/>
      <c r="E25" s="9"/>
    </row>
    <row r="26" spans="2:6" ht="21" x14ac:dyDescent="0.35">
      <c r="B26" s="9" t="s">
        <v>11</v>
      </c>
      <c r="C26" s="13"/>
      <c r="D26" s="9"/>
      <c r="E26" s="9"/>
    </row>
    <row r="27" spans="2:6" ht="21" x14ac:dyDescent="0.35">
      <c r="B27" s="9" t="s">
        <v>13</v>
      </c>
      <c r="C27" s="13"/>
      <c r="D27" s="9"/>
      <c r="E27" s="9"/>
    </row>
    <row r="28" spans="2:6" ht="26.25" x14ac:dyDescent="0.4">
      <c r="B28" s="9" t="s">
        <v>15</v>
      </c>
      <c r="C28" s="9">
        <f>C26*D7</f>
        <v>0</v>
      </c>
      <c r="D28" s="9"/>
      <c r="E28" s="9"/>
    </row>
    <row r="29" spans="2:6" ht="23.25" x14ac:dyDescent="0.35">
      <c r="B29" s="9" t="s">
        <v>14</v>
      </c>
      <c r="C29" s="9">
        <f>C27*D8</f>
        <v>0</v>
      </c>
      <c r="D29" s="9"/>
      <c r="E29" s="9"/>
    </row>
    <row r="30" spans="2:6" ht="14.25" customHeight="1" x14ac:dyDescent="0.35">
      <c r="B30" s="9" t="s">
        <v>16</v>
      </c>
      <c r="C30" s="9">
        <f>C26-C25</f>
        <v>0</v>
      </c>
      <c r="D30" s="9"/>
      <c r="E30" s="9"/>
    </row>
    <row r="31" spans="2:6" ht="23.25" x14ac:dyDescent="0.35">
      <c r="B31" s="9" t="s">
        <v>17</v>
      </c>
      <c r="C31" s="9">
        <f>C27-C25</f>
        <v>0</v>
      </c>
      <c r="D31" s="9"/>
      <c r="E31" s="9"/>
    </row>
    <row r="32" spans="2:6" ht="23.25" x14ac:dyDescent="0.35">
      <c r="B32" s="16" t="s">
        <v>12</v>
      </c>
      <c r="C32" s="9" t="e">
        <f>(C28/C30)+(C29/C31)-1</f>
        <v>#DIV/0!</v>
      </c>
      <c r="D32" s="9"/>
      <c r="E32" s="9"/>
    </row>
    <row r="33" spans="2:6" ht="16.5" thickBot="1" x14ac:dyDescent="0.3">
      <c r="B33" s="89" t="s">
        <v>22</v>
      </c>
      <c r="C33" s="90"/>
      <c r="D33" s="90"/>
      <c r="E33" s="90"/>
      <c r="F33" s="76"/>
    </row>
    <row r="34" spans="2:6" ht="21.75" thickBot="1" x14ac:dyDescent="0.4">
      <c r="B34" s="91" t="s">
        <v>18</v>
      </c>
      <c r="C34" s="92"/>
      <c r="D34" s="92"/>
      <c r="E34" s="93"/>
    </row>
    <row r="35" spans="2:6" ht="24" thickBot="1" x14ac:dyDescent="0.4">
      <c r="B35" s="17" t="s">
        <v>12</v>
      </c>
      <c r="C35" s="15" t="e">
        <f>C32*1.5</f>
        <v>#DIV/0!</v>
      </c>
      <c r="D35" s="15"/>
      <c r="E35" s="15"/>
    </row>
    <row r="36" spans="2:6" ht="16.5" thickBot="1" x14ac:dyDescent="0.3">
      <c r="B36" s="86" t="s">
        <v>19</v>
      </c>
      <c r="C36" s="87"/>
      <c r="D36" s="87"/>
      <c r="E36" s="87"/>
      <c r="F36" s="88"/>
    </row>
    <row r="41" spans="2:6" ht="23.25" x14ac:dyDescent="0.35">
      <c r="B41" s="16" t="s">
        <v>20</v>
      </c>
      <c r="C41" s="9" t="e">
        <f>0.75*((1-((C35-C32)/(C35+1))^0.566))</f>
        <v>#DIV/0!</v>
      </c>
      <c r="D41" s="9"/>
      <c r="E41" s="9"/>
    </row>
    <row r="42" spans="2:6" ht="23.25" x14ac:dyDescent="0.35">
      <c r="B42" s="16" t="s">
        <v>24</v>
      </c>
      <c r="C42" s="13"/>
      <c r="D42" s="9"/>
      <c r="E42" s="9"/>
    </row>
    <row r="43" spans="2:6" ht="15.75" thickBot="1" x14ac:dyDescent="0.3"/>
    <row r="44" spans="2:6" ht="16.5" thickBot="1" x14ac:dyDescent="0.3">
      <c r="B44" s="86" t="s">
        <v>21</v>
      </c>
      <c r="C44" s="87"/>
      <c r="D44" s="87"/>
      <c r="E44" s="87"/>
      <c r="F44" s="88"/>
    </row>
    <row r="45" spans="2:6" ht="15.75" x14ac:dyDescent="0.25">
      <c r="B45" s="19" t="s">
        <v>23</v>
      </c>
      <c r="C45" s="21">
        <v>0.56000000000000005</v>
      </c>
      <c r="D45" s="20"/>
      <c r="E45" s="20"/>
    </row>
    <row r="46" spans="2:6" x14ac:dyDescent="0.25">
      <c r="B46" s="7"/>
      <c r="C46" s="7"/>
      <c r="D46" s="7"/>
      <c r="E46" s="7"/>
    </row>
    <row r="47" spans="2:6" ht="15.75" thickBot="1" x14ac:dyDescent="0.3">
      <c r="B47" s="7"/>
      <c r="C47" s="7"/>
      <c r="D47" s="7"/>
      <c r="E47" s="7"/>
    </row>
    <row r="48" spans="2:6" ht="16.5" thickBot="1" x14ac:dyDescent="0.3">
      <c r="B48" s="86" t="s">
        <v>25</v>
      </c>
      <c r="C48" s="87"/>
      <c r="D48" s="87"/>
      <c r="E48" s="87"/>
      <c r="F48" s="88"/>
    </row>
    <row r="49" spans="2:7" ht="15.75" x14ac:dyDescent="0.25">
      <c r="B49" s="14"/>
      <c r="C49" s="14"/>
      <c r="D49" s="14"/>
      <c r="E49" s="14"/>
      <c r="F49" s="14"/>
    </row>
    <row r="50" spans="2:7" ht="15.75" x14ac:dyDescent="0.25">
      <c r="B50" s="14"/>
      <c r="C50" s="14"/>
      <c r="D50" s="14"/>
      <c r="E50" s="14"/>
      <c r="F50" s="14"/>
    </row>
    <row r="51" spans="2:7" ht="15.75" x14ac:dyDescent="0.25">
      <c r="B51" s="14"/>
      <c r="C51" s="14"/>
      <c r="D51" s="14"/>
      <c r="E51" s="14"/>
      <c r="F51" s="14"/>
    </row>
    <row r="52" spans="2:7" ht="15.75" x14ac:dyDescent="0.25">
      <c r="B52" s="14"/>
      <c r="C52" s="14"/>
      <c r="D52" s="14"/>
      <c r="E52" s="14"/>
      <c r="F52" s="14"/>
    </row>
    <row r="53" spans="2:7" ht="15.75" x14ac:dyDescent="0.25">
      <c r="B53" s="18" t="s">
        <v>30</v>
      </c>
      <c r="C53" s="9"/>
      <c r="D53" s="9"/>
      <c r="E53" s="9"/>
    </row>
    <row r="54" spans="2:7" x14ac:dyDescent="0.25">
      <c r="B54" s="9" t="s">
        <v>31</v>
      </c>
      <c r="C54" s="9"/>
      <c r="D54" s="9"/>
      <c r="E54" s="9"/>
    </row>
    <row r="56" spans="2:7" ht="15.75" thickBot="1" x14ac:dyDescent="0.3"/>
    <row r="57" spans="2:7" ht="20.25" thickBot="1" x14ac:dyDescent="0.3">
      <c r="B57" s="70" t="s">
        <v>32</v>
      </c>
      <c r="C57" s="71"/>
      <c r="D57" s="71"/>
      <c r="E57" s="71"/>
      <c r="F57" s="72"/>
    </row>
    <row r="62" spans="2:7" x14ac:dyDescent="0.25">
      <c r="G62" s="1">
        <f>10000-9025.64</f>
        <v>974.36000000000058</v>
      </c>
    </row>
    <row r="63" spans="2:7" x14ac:dyDescent="0.25">
      <c r="G63" s="1">
        <f>10000*0.005</f>
        <v>50</v>
      </c>
    </row>
    <row r="64" spans="2:7" x14ac:dyDescent="0.25">
      <c r="G64" s="1">
        <f>0.98-0.005</f>
        <v>0.97499999999999998</v>
      </c>
    </row>
    <row r="65" spans="7:7" x14ac:dyDescent="0.25">
      <c r="G65" s="1">
        <f>952/0.975</f>
        <v>976.41025641025647</v>
      </c>
    </row>
    <row r="66" spans="7:7" x14ac:dyDescent="0.25">
      <c r="G66" s="1">
        <f>10000-G65</f>
        <v>9023.5897435897441</v>
      </c>
    </row>
  </sheetData>
  <mergeCells count="11">
    <mergeCell ref="B57:F57"/>
    <mergeCell ref="B9:B10"/>
    <mergeCell ref="B18:F18"/>
    <mergeCell ref="B4:F5"/>
    <mergeCell ref="B3:F3"/>
    <mergeCell ref="B7:B8"/>
    <mergeCell ref="B48:F48"/>
    <mergeCell ref="B33:F33"/>
    <mergeCell ref="B34:E34"/>
    <mergeCell ref="B36:F36"/>
    <mergeCell ref="B44:F44"/>
  </mergeCells>
  <pageMargins left="0.7" right="0.7" top="0.75" bottom="0.75" header="0.3" footer="0.3"/>
  <pageSetup paperSize="9" orientation="portrait" horizontalDpi="4294967292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571500</xdr:colOff>
                <xdr:row>36</xdr:row>
                <xdr:rowOff>123825</xdr:rowOff>
              </from>
              <to>
                <xdr:col>5</xdr:col>
                <xdr:colOff>333375</xdr:colOff>
                <xdr:row>39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561975</xdr:colOff>
                <xdr:row>48</xdr:row>
                <xdr:rowOff>28575</xdr:rowOff>
              </from>
              <to>
                <xdr:col>5</xdr:col>
                <xdr:colOff>819150</xdr:colOff>
                <xdr:row>51</xdr:row>
                <xdr:rowOff>161925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1"/>
  <sheetViews>
    <sheetView tabSelected="1" topLeftCell="A57" workbookViewId="0">
      <selection activeCell="N67" sqref="N67"/>
    </sheetView>
  </sheetViews>
  <sheetFormatPr defaultRowHeight="15" x14ac:dyDescent="0.25"/>
  <cols>
    <col min="1" max="1" width="6.5703125" customWidth="1"/>
    <col min="2" max="2" width="12.140625" bestFit="1" customWidth="1"/>
    <col min="9" max="9" width="23.5703125" bestFit="1" customWidth="1"/>
    <col min="11" max="11" width="13" customWidth="1"/>
    <col min="14" max="14" width="39.28515625" customWidth="1"/>
  </cols>
  <sheetData>
    <row r="1" spans="2:14" ht="15.75" thickBot="1" x14ac:dyDescent="0.3"/>
    <row r="2" spans="2:14" ht="23.25" customHeight="1" x14ac:dyDescent="0.25">
      <c r="I2" s="123" t="s">
        <v>71</v>
      </c>
      <c r="J2" s="124"/>
      <c r="K2" s="124"/>
      <c r="L2" s="124"/>
      <c r="M2" s="124"/>
      <c r="N2" s="125"/>
    </row>
    <row r="3" spans="2:14" ht="15.75" thickBot="1" x14ac:dyDescent="0.3">
      <c r="I3" s="126"/>
      <c r="J3" s="122"/>
      <c r="K3" s="122"/>
      <c r="L3" s="122"/>
      <c r="M3" s="122"/>
      <c r="N3" s="127"/>
    </row>
    <row r="4" spans="2:14" x14ac:dyDescent="0.25">
      <c r="I4" s="43" t="s">
        <v>60</v>
      </c>
      <c r="J4" s="44">
        <v>2</v>
      </c>
      <c r="K4" s="45" t="s">
        <v>59</v>
      </c>
      <c r="L4" s="45"/>
      <c r="M4" s="45"/>
      <c r="N4" s="46"/>
    </row>
    <row r="5" spans="2:14" x14ac:dyDescent="0.25">
      <c r="I5" s="47" t="s">
        <v>58</v>
      </c>
      <c r="J5" s="28">
        <v>961</v>
      </c>
      <c r="K5" s="26" t="s">
        <v>59</v>
      </c>
      <c r="L5" s="26"/>
      <c r="M5" s="26"/>
      <c r="N5" s="48"/>
    </row>
    <row r="6" spans="2:14" x14ac:dyDescent="0.25">
      <c r="I6" s="49" t="s">
        <v>45</v>
      </c>
      <c r="J6" s="2">
        <v>1.1200000000000001</v>
      </c>
      <c r="K6" s="2"/>
      <c r="L6" s="2"/>
      <c r="M6" s="2"/>
      <c r="N6" s="50"/>
    </row>
    <row r="7" spans="2:14" x14ac:dyDescent="0.25">
      <c r="I7" s="49" t="s">
        <v>44</v>
      </c>
      <c r="J7" s="28">
        <v>10000</v>
      </c>
      <c r="K7" s="2" t="s">
        <v>27</v>
      </c>
      <c r="L7" s="2"/>
      <c r="M7" s="2"/>
      <c r="N7" s="50"/>
    </row>
    <row r="8" spans="2:14" x14ac:dyDescent="0.25">
      <c r="I8" s="49" t="s">
        <v>43</v>
      </c>
      <c r="J8" s="2">
        <v>1.35</v>
      </c>
      <c r="K8" s="2"/>
      <c r="L8" s="2"/>
      <c r="M8" s="2"/>
      <c r="N8" s="50"/>
    </row>
    <row r="9" spans="2:14" x14ac:dyDescent="0.25">
      <c r="I9" s="49" t="s">
        <v>4</v>
      </c>
      <c r="J9" s="28">
        <v>976.4</v>
      </c>
      <c r="K9" s="2" t="s">
        <v>27</v>
      </c>
      <c r="L9" s="2"/>
      <c r="M9" s="2"/>
      <c r="N9" s="50"/>
    </row>
    <row r="10" spans="2:14" ht="15.75" thickBot="1" x14ac:dyDescent="0.3">
      <c r="I10" s="51" t="s">
        <v>5</v>
      </c>
      <c r="J10" s="52">
        <v>9023.58</v>
      </c>
      <c r="K10" s="53" t="s">
        <v>27</v>
      </c>
      <c r="L10" s="53"/>
      <c r="M10" s="53"/>
      <c r="N10" s="54"/>
    </row>
    <row r="11" spans="2:14" ht="15.75" thickBot="1" x14ac:dyDescent="0.3">
      <c r="B11" s="97" t="s">
        <v>33</v>
      </c>
      <c r="C11" s="97"/>
      <c r="D11" s="97"/>
      <c r="E11" s="97"/>
      <c r="F11" s="97"/>
      <c r="G11" s="97"/>
      <c r="I11" s="98" t="s">
        <v>33</v>
      </c>
      <c r="J11" s="99"/>
      <c r="K11" s="99"/>
      <c r="L11" s="99"/>
      <c r="M11" s="99"/>
      <c r="N11" s="100"/>
    </row>
    <row r="12" spans="2:14" x14ac:dyDescent="0.25">
      <c r="B12" s="24" t="s">
        <v>34</v>
      </c>
      <c r="C12" s="42" t="s">
        <v>27</v>
      </c>
      <c r="D12" s="25"/>
      <c r="E12" s="24"/>
      <c r="F12" s="24"/>
      <c r="G12" s="24"/>
      <c r="I12" s="62" t="s">
        <v>39</v>
      </c>
      <c r="J12" s="63">
        <f>J8*J9</f>
        <v>1318.14</v>
      </c>
      <c r="K12" s="64" t="s">
        <v>27</v>
      </c>
      <c r="L12" s="63"/>
      <c r="M12" s="63"/>
      <c r="N12" s="65"/>
    </row>
    <row r="13" spans="2:14" ht="15.75" thickBot="1" x14ac:dyDescent="0.3">
      <c r="B13" s="24" t="s">
        <v>35</v>
      </c>
      <c r="C13" s="42" t="s">
        <v>27</v>
      </c>
      <c r="D13" s="25"/>
      <c r="E13" s="24"/>
      <c r="F13" s="24"/>
      <c r="G13" s="24"/>
      <c r="I13" s="58" t="s">
        <v>40</v>
      </c>
      <c r="J13" s="59">
        <f>(J8+1)*J12</f>
        <v>3097.6290000000004</v>
      </c>
      <c r="K13" s="60" t="s">
        <v>27</v>
      </c>
      <c r="L13" s="59"/>
      <c r="M13" s="59"/>
      <c r="N13" s="61"/>
    </row>
    <row r="14" spans="2:14" ht="15.75" thickBot="1" x14ac:dyDescent="0.3">
      <c r="B14" s="24"/>
      <c r="C14" s="24"/>
      <c r="D14" s="24"/>
      <c r="E14" s="24"/>
      <c r="F14" s="24"/>
      <c r="G14" s="24"/>
      <c r="I14" s="55"/>
      <c r="J14" s="56"/>
      <c r="K14" s="56"/>
      <c r="L14" s="56"/>
      <c r="M14" s="56"/>
      <c r="N14" s="57"/>
    </row>
    <row r="15" spans="2:14" ht="15.75" thickBot="1" x14ac:dyDescent="0.3">
      <c r="B15" s="97" t="s">
        <v>36</v>
      </c>
      <c r="C15" s="97"/>
      <c r="D15" s="97"/>
      <c r="E15" s="97"/>
      <c r="F15" s="97"/>
      <c r="G15" s="97"/>
      <c r="I15" s="101" t="s">
        <v>36</v>
      </c>
      <c r="J15" s="102"/>
      <c r="K15" s="102"/>
      <c r="L15" s="102"/>
      <c r="M15" s="102"/>
      <c r="N15" s="103"/>
    </row>
    <row r="16" spans="2:14" x14ac:dyDescent="0.25">
      <c r="B16" s="24" t="s">
        <v>37</v>
      </c>
      <c r="C16" s="42" t="s">
        <v>27</v>
      </c>
      <c r="D16" s="25"/>
      <c r="E16" s="24"/>
      <c r="F16" s="24"/>
      <c r="G16" s="24"/>
      <c r="I16" s="66" t="s">
        <v>41</v>
      </c>
      <c r="J16" s="67">
        <f>J12+(J7*J6)</f>
        <v>12518.140000000001</v>
      </c>
      <c r="K16" s="68" t="s">
        <v>27</v>
      </c>
      <c r="L16" s="67"/>
      <c r="M16" s="67"/>
      <c r="N16" s="69"/>
    </row>
    <row r="17" spans="2:14" ht="15.75" thickBot="1" x14ac:dyDescent="0.3">
      <c r="B17" s="24" t="s">
        <v>38</v>
      </c>
      <c r="C17" s="42" t="s">
        <v>27</v>
      </c>
      <c r="D17" s="25"/>
      <c r="E17" s="24"/>
      <c r="F17" s="24"/>
      <c r="G17" s="24"/>
      <c r="I17" s="58" t="s">
        <v>42</v>
      </c>
      <c r="J17" s="59">
        <f>J13+((J6-1)*J7)</f>
        <v>4297.6290000000017</v>
      </c>
      <c r="K17" s="60" t="s">
        <v>27</v>
      </c>
      <c r="L17" s="59"/>
      <c r="M17" s="59"/>
      <c r="N17" s="61"/>
    </row>
    <row r="18" spans="2:14" x14ac:dyDescent="0.25">
      <c r="I18" s="34"/>
      <c r="J18" s="35"/>
      <c r="K18" s="35"/>
      <c r="L18" s="35"/>
      <c r="M18" s="35"/>
      <c r="N18" s="36"/>
    </row>
    <row r="19" spans="2:14" x14ac:dyDescent="0.25">
      <c r="I19" s="37"/>
      <c r="J19" s="3"/>
      <c r="K19" s="3"/>
      <c r="L19" s="3"/>
      <c r="M19" s="3"/>
      <c r="N19" s="38"/>
    </row>
    <row r="20" spans="2:14" x14ac:dyDescent="0.25">
      <c r="I20" s="37"/>
      <c r="J20" s="3"/>
      <c r="K20" s="3"/>
      <c r="L20" s="3"/>
      <c r="M20" s="3"/>
      <c r="N20" s="38"/>
    </row>
    <row r="21" spans="2:14" x14ac:dyDescent="0.25">
      <c r="I21" s="37"/>
      <c r="J21" s="3"/>
      <c r="K21" s="3"/>
      <c r="L21" s="3"/>
      <c r="M21" s="3"/>
      <c r="N21" s="38"/>
    </row>
    <row r="22" spans="2:14" ht="15.75" thickBot="1" x14ac:dyDescent="0.3">
      <c r="I22" s="39"/>
      <c r="J22" s="40"/>
      <c r="K22" s="40"/>
      <c r="L22" s="40"/>
      <c r="M22" s="40"/>
      <c r="N22" s="41"/>
    </row>
    <row r="23" spans="2:14" x14ac:dyDescent="0.25">
      <c r="I23" s="33" t="s">
        <v>46</v>
      </c>
      <c r="J23" s="33">
        <f>J12/J13</f>
        <v>0.42553191489361702</v>
      </c>
      <c r="K23" s="32"/>
      <c r="L23" s="32"/>
      <c r="M23" s="32"/>
      <c r="N23" s="32"/>
    </row>
    <row r="24" spans="2:14" x14ac:dyDescent="0.25">
      <c r="I24" s="2" t="s">
        <v>68</v>
      </c>
      <c r="J24" s="2">
        <f>J4/J5</f>
        <v>2.0811654526534861E-3</v>
      </c>
      <c r="K24" s="26"/>
      <c r="L24" s="26"/>
      <c r="M24" s="26"/>
      <c r="N24" s="26"/>
    </row>
    <row r="25" spans="2:14" x14ac:dyDescent="0.25">
      <c r="I25" s="2" t="s">
        <v>47</v>
      </c>
      <c r="J25" s="2">
        <f>J23*(J24^0.5)</f>
        <v>1.9412677589198287E-2</v>
      </c>
      <c r="K25" s="26"/>
      <c r="L25" s="26"/>
      <c r="M25" s="26"/>
      <c r="N25" s="26"/>
    </row>
    <row r="26" spans="2:14" x14ac:dyDescent="0.25">
      <c r="I26" s="2" t="s">
        <v>48</v>
      </c>
      <c r="J26" s="28">
        <f>5/10^2</f>
        <v>0.05</v>
      </c>
      <c r="K26" s="26"/>
      <c r="L26" s="26"/>
      <c r="M26" s="26"/>
      <c r="N26" s="26"/>
    </row>
    <row r="27" spans="2:14" x14ac:dyDescent="0.25">
      <c r="I27" s="116"/>
      <c r="J27" s="117"/>
      <c r="K27" s="117"/>
      <c r="L27" s="117"/>
      <c r="M27" s="117"/>
      <c r="N27" s="118"/>
    </row>
    <row r="28" spans="2:14" x14ac:dyDescent="0.25">
      <c r="I28" s="116"/>
      <c r="J28" s="117"/>
      <c r="K28" s="117"/>
      <c r="L28" s="117"/>
      <c r="M28" s="117"/>
      <c r="N28" s="118"/>
    </row>
    <row r="29" spans="2:14" x14ac:dyDescent="0.25">
      <c r="I29" s="116"/>
      <c r="J29" s="117"/>
      <c r="K29" s="117"/>
      <c r="L29" s="117"/>
      <c r="M29" s="117"/>
      <c r="N29" s="118"/>
    </row>
    <row r="30" spans="2:14" x14ac:dyDescent="0.25">
      <c r="I30" s="116"/>
      <c r="J30" s="117"/>
      <c r="K30" s="117"/>
      <c r="L30" s="117"/>
      <c r="M30" s="117"/>
      <c r="N30" s="118"/>
    </row>
    <row r="31" spans="2:14" ht="15.75" thickBot="1" x14ac:dyDescent="0.3">
      <c r="I31" s="119"/>
      <c r="J31" s="120"/>
      <c r="K31" s="120"/>
      <c r="L31" s="120"/>
      <c r="M31" s="120"/>
      <c r="N31" s="121"/>
    </row>
    <row r="32" spans="2:14" x14ac:dyDescent="0.25">
      <c r="I32" s="32"/>
      <c r="J32" s="32"/>
      <c r="K32" s="32"/>
      <c r="L32" s="32"/>
      <c r="M32" s="32"/>
      <c r="N32" s="32"/>
    </row>
    <row r="33" spans="9:14" x14ac:dyDescent="0.25">
      <c r="I33" s="27" t="s">
        <v>49</v>
      </c>
      <c r="J33" s="28">
        <v>1</v>
      </c>
      <c r="K33" s="26"/>
      <c r="L33" s="26"/>
      <c r="M33" s="26"/>
      <c r="N33" s="26"/>
    </row>
    <row r="34" spans="9:14" x14ac:dyDescent="0.25">
      <c r="I34" s="26"/>
      <c r="J34" s="26"/>
      <c r="K34" s="26"/>
      <c r="L34" s="26"/>
      <c r="M34" s="26"/>
      <c r="N34" s="26"/>
    </row>
    <row r="35" spans="9:14" x14ac:dyDescent="0.25">
      <c r="I35" s="26" t="s">
        <v>50</v>
      </c>
      <c r="J35" s="2">
        <f>J26*(J33/20)^0.2*(((J5-J4)/J4)^0.5)</f>
        <v>0.60139291995472965</v>
      </c>
      <c r="K35" s="26" t="s">
        <v>56</v>
      </c>
      <c r="L35" s="26"/>
      <c r="M35" s="26"/>
      <c r="N35" s="26"/>
    </row>
    <row r="36" spans="9:14" x14ac:dyDescent="0.25">
      <c r="I36" s="26" t="s">
        <v>63</v>
      </c>
      <c r="J36" s="2">
        <f>(J17/J4)/3600</f>
        <v>0.59689291666666688</v>
      </c>
      <c r="K36" s="26" t="s">
        <v>64</v>
      </c>
      <c r="L36" s="26"/>
      <c r="M36" s="26"/>
      <c r="N36" s="26"/>
    </row>
    <row r="37" spans="9:14" x14ac:dyDescent="0.25">
      <c r="I37" s="26"/>
      <c r="J37" s="2">
        <f>J36/(0.785*J35)</f>
        <v>1.2643533321073497</v>
      </c>
      <c r="K37" s="26"/>
      <c r="L37" s="26"/>
      <c r="M37" s="26"/>
      <c r="N37" s="26"/>
    </row>
    <row r="38" spans="9:14" ht="15.75" thickBot="1" x14ac:dyDescent="0.3">
      <c r="I38" s="30" t="s">
        <v>61</v>
      </c>
      <c r="J38" s="30">
        <f>SQRT(J37)</f>
        <v>1.1244346722274929</v>
      </c>
      <c r="K38" s="30" t="s">
        <v>62</v>
      </c>
      <c r="L38" s="31"/>
      <c r="M38" s="31"/>
      <c r="N38" s="31"/>
    </row>
    <row r="39" spans="9:14" s="23" customFormat="1" ht="16.5" thickBot="1" x14ac:dyDescent="0.3">
      <c r="I39" s="113" t="s">
        <v>67</v>
      </c>
      <c r="J39" s="114"/>
      <c r="K39" s="114"/>
      <c r="L39" s="114"/>
      <c r="M39" s="114"/>
      <c r="N39" s="115"/>
    </row>
    <row r="40" spans="9:14" s="23" customFormat="1" ht="15" customHeight="1" x14ac:dyDescent="0.25">
      <c r="I40" s="104" t="s">
        <v>66</v>
      </c>
      <c r="J40" s="105"/>
      <c r="K40" s="105"/>
      <c r="L40" s="105"/>
      <c r="M40" s="105"/>
      <c r="N40" s="106"/>
    </row>
    <row r="41" spans="9:14" s="23" customFormat="1" ht="15" customHeight="1" x14ac:dyDescent="0.25">
      <c r="I41" s="107"/>
      <c r="J41" s="108"/>
      <c r="K41" s="108"/>
      <c r="L41" s="108"/>
      <c r="M41" s="108"/>
      <c r="N41" s="109"/>
    </row>
    <row r="42" spans="9:14" s="23" customFormat="1" ht="15" customHeight="1" thickBot="1" x14ac:dyDescent="0.3">
      <c r="I42" s="110"/>
      <c r="J42" s="111"/>
      <c r="K42" s="111"/>
      <c r="L42" s="111"/>
      <c r="M42" s="111"/>
      <c r="N42" s="112"/>
    </row>
    <row r="43" spans="9:14" x14ac:dyDescent="0.25">
      <c r="I43" s="32"/>
      <c r="J43" s="32"/>
      <c r="K43" s="32"/>
      <c r="L43" s="32"/>
      <c r="M43" s="32"/>
      <c r="N43" s="32"/>
    </row>
    <row r="44" spans="9:14" ht="15.75" thickBot="1" x14ac:dyDescent="0.3">
      <c r="I44" s="31" t="s">
        <v>65</v>
      </c>
      <c r="J44" s="31">
        <f>24*0.5+1+(0.005*25)</f>
        <v>13.125</v>
      </c>
      <c r="K44" s="31"/>
      <c r="L44" s="31"/>
      <c r="M44" s="31"/>
      <c r="N44" s="31"/>
    </row>
    <row r="45" spans="9:14" ht="19.5" thickBot="1" x14ac:dyDescent="0.35">
      <c r="I45" s="94" t="s">
        <v>69</v>
      </c>
      <c r="J45" s="95"/>
      <c r="K45" s="95"/>
      <c r="L45" s="95"/>
      <c r="M45" s="95"/>
      <c r="N45" s="96"/>
    </row>
    <row r="46" spans="9:14" x14ac:dyDescent="0.25">
      <c r="I46" s="32" t="s">
        <v>51</v>
      </c>
      <c r="J46" s="32">
        <f>0.785*J38^2</f>
        <v>0.99251736570426941</v>
      </c>
      <c r="K46" s="32" t="s">
        <v>52</v>
      </c>
      <c r="L46" s="32"/>
      <c r="M46" s="32"/>
      <c r="N46" s="32"/>
    </row>
    <row r="47" spans="9:14" x14ac:dyDescent="0.25">
      <c r="I47" s="26" t="s">
        <v>53</v>
      </c>
      <c r="J47" s="26">
        <f>0.15*J46</f>
        <v>0.14887760485564042</v>
      </c>
      <c r="K47" s="26"/>
      <c r="L47" s="26"/>
      <c r="M47" s="26"/>
      <c r="N47" s="26"/>
    </row>
    <row r="48" spans="9:14" ht="17.25" x14ac:dyDescent="0.3">
      <c r="I48" s="29" t="s">
        <v>54</v>
      </c>
      <c r="J48" s="26">
        <f>J46-J47</f>
        <v>0.84363976084862902</v>
      </c>
      <c r="K48" s="26"/>
      <c r="L48" s="26"/>
      <c r="M48" s="26"/>
      <c r="N48" s="26"/>
    </row>
    <row r="49" spans="9:14" x14ac:dyDescent="0.25">
      <c r="I49" s="26" t="s">
        <v>57</v>
      </c>
      <c r="J49" s="26">
        <f>J46-(2*J47)</f>
        <v>0.69476215599298863</v>
      </c>
      <c r="K49" s="26" t="s">
        <v>52</v>
      </c>
      <c r="L49" s="26"/>
      <c r="M49" s="26"/>
      <c r="N49" s="26"/>
    </row>
    <row r="50" spans="9:14" x14ac:dyDescent="0.25">
      <c r="I50" s="26" t="s">
        <v>55</v>
      </c>
      <c r="J50" s="26">
        <f>0.01*J49</f>
        <v>6.9476215599298865E-3</v>
      </c>
      <c r="K50" s="26" t="s">
        <v>52</v>
      </c>
      <c r="L50" s="26"/>
      <c r="M50" s="26"/>
      <c r="N50" s="26"/>
    </row>
    <row r="51" spans="9:14" ht="15.75" thickBot="1" x14ac:dyDescent="0.3">
      <c r="I51" s="31"/>
      <c r="J51" s="31"/>
      <c r="K51" s="31"/>
      <c r="L51" s="31"/>
      <c r="M51" s="31"/>
      <c r="N51" s="31"/>
    </row>
    <row r="52" spans="9:14" x14ac:dyDescent="0.25">
      <c r="I52" s="131" t="s">
        <v>72</v>
      </c>
      <c r="J52" s="132"/>
      <c r="K52" s="132"/>
      <c r="L52" s="132"/>
      <c r="M52" s="132"/>
      <c r="N52" s="133"/>
    </row>
    <row r="53" spans="9:14" ht="15.75" thickBot="1" x14ac:dyDescent="0.3">
      <c r="I53" s="134"/>
      <c r="J53" s="135"/>
      <c r="K53" s="135"/>
      <c r="L53" s="135"/>
      <c r="M53" s="135"/>
      <c r="N53" s="136"/>
    </row>
    <row r="54" spans="9:14" s="23" customFormat="1" ht="21" x14ac:dyDescent="0.25">
      <c r="I54" s="130"/>
      <c r="J54" s="130"/>
      <c r="K54" s="130"/>
      <c r="L54" s="130"/>
      <c r="M54" s="130"/>
      <c r="N54" s="130"/>
    </row>
    <row r="55" spans="9:14" s="23" customFormat="1" ht="21" x14ac:dyDescent="0.25">
      <c r="I55" s="130"/>
      <c r="J55" s="130"/>
      <c r="K55" s="130"/>
      <c r="L55" s="130"/>
      <c r="M55" s="130"/>
      <c r="N55" s="130"/>
    </row>
    <row r="56" spans="9:14" s="23" customFormat="1" ht="21" x14ac:dyDescent="0.25">
      <c r="I56" s="130"/>
      <c r="J56" s="130"/>
      <c r="K56" s="130"/>
      <c r="L56" s="130"/>
      <c r="M56" s="141" t="s">
        <v>74</v>
      </c>
      <c r="N56" s="142"/>
    </row>
    <row r="57" spans="9:14" s="23" customFormat="1" ht="21" x14ac:dyDescent="0.25">
      <c r="I57" s="130"/>
      <c r="J57" s="130"/>
      <c r="K57" s="130"/>
      <c r="L57" s="130"/>
      <c r="M57" s="130"/>
      <c r="N57" s="130"/>
    </row>
    <row r="58" spans="9:14" s="23" customFormat="1" ht="21" x14ac:dyDescent="0.25">
      <c r="I58" s="130"/>
      <c r="J58" s="130"/>
      <c r="K58" s="130"/>
      <c r="L58" s="130"/>
      <c r="M58" s="130"/>
      <c r="N58" s="130"/>
    </row>
    <row r="59" spans="9:14" s="23" customFormat="1" ht="21" x14ac:dyDescent="0.25">
      <c r="I59" s="137" t="s">
        <v>75</v>
      </c>
      <c r="J59" s="138" t="s">
        <v>76</v>
      </c>
      <c r="K59" s="139"/>
      <c r="L59" s="129"/>
      <c r="M59" s="129"/>
      <c r="N59" s="129"/>
    </row>
    <row r="60" spans="9:14" s="23" customFormat="1" x14ac:dyDescent="0.25">
      <c r="I60" s="137" t="s">
        <v>75</v>
      </c>
      <c r="J60" s="137">
        <f>((J17/J4)/3600)/J49</f>
        <v>0.85913274279247098</v>
      </c>
      <c r="K60" s="137" t="s">
        <v>56</v>
      </c>
      <c r="L60" s="137"/>
      <c r="M60" s="137"/>
      <c r="N60" s="137"/>
    </row>
    <row r="61" spans="9:14" s="23" customFormat="1" x14ac:dyDescent="0.25">
      <c r="I61" s="137" t="s">
        <v>77</v>
      </c>
      <c r="J61" s="140">
        <v>0.84</v>
      </c>
      <c r="K61" s="137"/>
      <c r="L61" s="137"/>
      <c r="M61" s="141" t="s">
        <v>78</v>
      </c>
      <c r="N61" s="142"/>
    </row>
    <row r="62" spans="9:14" s="23" customFormat="1" x14ac:dyDescent="0.25">
      <c r="I62" s="137" t="s">
        <v>79</v>
      </c>
      <c r="J62" s="137">
        <f>J4/J5</f>
        <v>2.0811654526534861E-3</v>
      </c>
      <c r="K62" s="137"/>
      <c r="L62" s="137"/>
      <c r="M62" s="137"/>
      <c r="N62" s="143"/>
    </row>
    <row r="63" spans="9:14" s="23" customFormat="1" x14ac:dyDescent="0.25">
      <c r="I63" s="137"/>
      <c r="J63" s="137"/>
      <c r="K63" s="137"/>
      <c r="L63" s="137"/>
      <c r="M63" s="137"/>
      <c r="N63" s="143"/>
    </row>
    <row r="64" spans="9:14" s="23" customFormat="1" ht="23.25" x14ac:dyDescent="0.25">
      <c r="I64" s="137" t="s">
        <v>80</v>
      </c>
      <c r="J64" s="137">
        <f>51*(J60/J61)^2*J62</f>
        <v>0.11102959454037338</v>
      </c>
      <c r="K64" s="137" t="s">
        <v>81</v>
      </c>
      <c r="L64" s="137"/>
      <c r="M64" s="137"/>
      <c r="N64" s="129"/>
    </row>
    <row r="65" spans="9:14" x14ac:dyDescent="0.25">
      <c r="I65" s="137"/>
      <c r="J65" s="137"/>
      <c r="K65" s="137"/>
      <c r="L65" s="137"/>
      <c r="M65" s="137"/>
      <c r="N65" s="26"/>
    </row>
    <row r="66" spans="9:14" ht="32.25" customHeight="1" x14ac:dyDescent="0.25">
      <c r="I66" s="128" t="s">
        <v>73</v>
      </c>
      <c r="J66" s="128"/>
      <c r="K66" s="128"/>
      <c r="L66" s="128"/>
      <c r="M66" s="128"/>
      <c r="N66" s="128"/>
    </row>
    <row r="67" spans="9:14" ht="23.25" x14ac:dyDescent="0.25">
      <c r="I67" s="137" t="s">
        <v>82</v>
      </c>
      <c r="J67" s="26">
        <f>12.5*10^3/J5</f>
        <v>13.007284079084288</v>
      </c>
      <c r="K67" s="26" t="s">
        <v>70</v>
      </c>
      <c r="L67" s="26"/>
      <c r="M67" s="26"/>
      <c r="N67" s="26"/>
    </row>
    <row r="68" spans="9:14" x14ac:dyDescent="0.25">
      <c r="I68" s="26"/>
      <c r="J68" s="26"/>
      <c r="K68" s="26"/>
      <c r="L68" s="26"/>
      <c r="M68" s="26"/>
      <c r="N68" s="26"/>
    </row>
    <row r="69" spans="9:14" x14ac:dyDescent="0.25">
      <c r="I69" s="26"/>
      <c r="J69" s="26"/>
      <c r="K69" s="26"/>
      <c r="L69" s="26"/>
      <c r="M69" s="26"/>
      <c r="N69" s="26"/>
    </row>
    <row r="70" spans="9:14" x14ac:dyDescent="0.25">
      <c r="I70" s="26"/>
      <c r="J70" s="26"/>
      <c r="K70" s="26"/>
      <c r="L70" s="26"/>
      <c r="M70" s="26"/>
      <c r="N70" s="26"/>
    </row>
    <row r="71" spans="9:14" x14ac:dyDescent="0.25">
      <c r="I71" s="26"/>
      <c r="J71" s="26"/>
      <c r="K71" s="26"/>
      <c r="L71" s="26"/>
      <c r="M71" s="26"/>
      <c r="N71" s="26"/>
    </row>
  </sheetData>
  <mergeCells count="14">
    <mergeCell ref="I2:N3"/>
    <mergeCell ref="I52:N53"/>
    <mergeCell ref="I66:N66"/>
    <mergeCell ref="J59:K59"/>
    <mergeCell ref="M56:N56"/>
    <mergeCell ref="M61:N61"/>
    <mergeCell ref="I45:N45"/>
    <mergeCell ref="B11:G11"/>
    <mergeCell ref="B15:G15"/>
    <mergeCell ref="I11:N11"/>
    <mergeCell ref="I15:N15"/>
    <mergeCell ref="I40:N42"/>
    <mergeCell ref="I39:N39"/>
    <mergeCell ref="I27:N31"/>
  </mergeCells>
  <pageMargins left="0.7" right="0.7" top="0.75" bottom="0.75" header="0.3" footer="0.3"/>
  <pageSetup paperSize="9" orientation="portrait" horizontalDpi="4294967292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8</xdr:col>
                <xdr:colOff>66675</xdr:colOff>
                <xdr:row>17</xdr:row>
                <xdr:rowOff>152400</xdr:rowOff>
              </from>
              <to>
                <xdr:col>13</xdr:col>
                <xdr:colOff>457200</xdr:colOff>
                <xdr:row>21</xdr:row>
                <xdr:rowOff>47625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8</xdr:col>
                <xdr:colOff>76200</xdr:colOff>
                <xdr:row>26</xdr:row>
                <xdr:rowOff>133350</xdr:rowOff>
              </from>
              <to>
                <xdr:col>13</xdr:col>
                <xdr:colOff>561975</xdr:colOff>
                <xdr:row>30</xdr:row>
                <xdr:rowOff>104775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Shrawani</dc:creator>
  <cp:lastModifiedBy>Shrawani</cp:lastModifiedBy>
  <dcterms:created xsi:type="dcterms:W3CDTF">2015-06-05T18:17:20Z</dcterms:created>
  <dcterms:modified xsi:type="dcterms:W3CDTF">2022-03-03T12:49:45Z</dcterms:modified>
</cp:coreProperties>
</file>